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0" yWindow="-90" windowWidth="9465" windowHeight="8730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24" i="10" l="1"/>
  <c r="B23" i="10"/>
  <c r="B16" i="10"/>
  <c r="B15" i="10"/>
  <c r="B14" i="10"/>
  <c r="B13" i="10"/>
  <c r="B12" i="10"/>
  <c r="B11" i="10"/>
  <c r="B10" i="10"/>
  <c r="D27" i="10"/>
  <c r="D24" i="10"/>
  <c r="D23" i="10"/>
  <c r="D18" i="10"/>
  <c r="D16" i="10"/>
  <c r="D15" i="10"/>
  <c r="D14" i="10"/>
  <c r="D13" i="10"/>
  <c r="D12" i="10"/>
  <c r="D11" i="10"/>
  <c r="D10" i="10"/>
  <c r="D5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F44" i="12"/>
  <c r="H44" i="12" s="1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F21" i="13"/>
  <c r="H21" i="13" s="1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F45" i="12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AR30" i="5" l="1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J14" i="18"/>
  <c r="H45" i="15"/>
  <c r="N3" i="15" s="1"/>
  <c r="G4" i="8" s="1"/>
  <c r="AJ21" i="13"/>
  <c r="AJ23" i="13" s="1"/>
  <c r="H4" i="13" s="1"/>
  <c r="E8" i="8" s="1"/>
  <c r="D8" i="8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AJ29" i="15"/>
  <c r="AJ15" i="15"/>
  <c r="AJ16" i="15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8" i="15" l="1"/>
  <c r="G6" i="8"/>
  <c r="AJ14" i="15"/>
  <c r="AJ17" i="15"/>
  <c r="AJ20" i="15"/>
  <c r="AJ28" i="15"/>
  <c r="AJ30" i="15" s="1"/>
  <c r="H5" i="15" s="1"/>
  <c r="G9" i="8" s="1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21" i="15" l="1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K6" i="8"/>
  <c r="AJ29" i="19"/>
  <c r="AJ17" i="19"/>
  <c r="AJ15" i="19"/>
  <c r="AJ18" i="19"/>
  <c r="AJ16" i="19"/>
  <c r="AJ14" i="19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28" i="19" l="1"/>
  <c r="AJ30" i="19" s="1"/>
  <c r="H5" i="19" s="1"/>
  <c r="K9" i="8" s="1"/>
  <c r="AJ20" i="19"/>
  <c r="N2" i="21"/>
  <c r="H2" i="21" s="1"/>
  <c r="M5" i="8" s="1"/>
  <c r="H7" i="21"/>
  <c r="M11" i="8" s="1"/>
  <c r="F45" i="21"/>
  <c r="AJ21" i="19"/>
  <c r="AJ23" i="19" s="1"/>
  <c r="H4" i="19" s="1"/>
  <c r="K8" i="8" s="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P11" i="8" l="1"/>
  <c r="AJ21" i="20"/>
  <c r="AJ23" i="20" s="1"/>
  <c r="H4" i="20" s="1"/>
  <c r="L8" i="8" s="1"/>
  <c r="AJ30" i="20"/>
  <c r="H5" i="20" s="1"/>
  <c r="L9" i="8" s="1"/>
  <c r="H6" i="19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AJ20" i="22" l="1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<sst xmlns="http://schemas.openxmlformats.org/spreadsheetml/2006/main" count="968" uniqueCount="174">
  <si>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</si>
  <si>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</si>
  <si>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</si>
  <si>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</si>
  <si>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</si>
  <si>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</si>
  <si>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</si>
  <si>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</si>
  <si>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</si>
  <si>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</si>
  <si>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</si>
  <si>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</si>
  <si>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</si>
  <si>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</si>
  <si>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</si>
  <si>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</si>
  <si>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</si>
  <si>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</si>
  <si>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</si>
  <si>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</si>
  <si>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</si>
  <si>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</si>
  <si>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</si>
  <si>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</si>
  <si>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</si>
  <si>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</si>
  <si>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</si>
  <si>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</si>
  <si>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</si>
  <si>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</si>
  <si>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</si>
  <si>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</si>
  <si>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</si>
  <si>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</si>
  <si>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</si>
  <si>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</si>
  <si>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</si>
  <si>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</si>
  <si>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</si>
  <si>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</si>
  <si>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</si>
  <si>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</si>
  <si>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</si>
  <si>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</si>
  <si>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</si>
  <si>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</si>
  <si>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</si>
  <si>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</si>
  <si>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</si>
  <si>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</si>
  <si>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</si>
  <si>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</si>
  <si>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</si>
  <si>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</si>
  <si>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</si>
  <si>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</si>
  <si>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</si>
  <si>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</si>
  <si>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</si>
  <si>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</si>
  <si>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</si>
  <si>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</si>
  <si>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</si>
  <si>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</si>
  <si>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</si>
  <si>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</si>
  <si>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</si>
  <si>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</si>
  <si>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</si>
  <si>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</si>
  <si>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</si>
  <si>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</si>
  <si>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</si>
  <si>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</si>
  <si>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</si>
  <si>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</si>
  <si>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</si>
  <si>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</si>
  <si>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</si>
  <si>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</si>
  <si>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</si>
  <si>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</si>
  <si>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</si>
  <si>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</si>
  <si>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</si>
  <si>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</si>
  <si>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</si>
  <si>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</si>
  <si>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</si>
  <si>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</si>
  <si>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</si>
  <si>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</si>
  <si>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</si>
  <si>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</si>
  <si>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</si>
  <si>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</si>
  <si>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</si>
  <si>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</si>
  <si>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</si>
  <si>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</si>
  <si>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</si>
  <si>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</si>
  <si>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</si>
  <si>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</si>
  <si>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</si>
  <si>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</si>
  <si>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</si>
  <si>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</si>
  <si>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</si>
  <si>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</si>
  <si>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</si>
  <si>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</si>
  <si>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</si>
  <si>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</si>
  <si>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</si>
  <si>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</si>
  <si>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</si>
  <si>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</si>
  <si>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</si>
  <si>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</si>
  <si>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</si>
  <si>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</si>
  <si>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</si>
  <si>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</si>
  <si>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</si>
  <si>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</si>
  <si>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</si>
  <si>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</si>
  <si>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</si>
  <si>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</si>
  <si>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</si>
  <si>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</si>
  <si>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</si>
  <si>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</si>
  <si>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</si>
  <si>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</si>
  <si>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</si>
  <si>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</si>
  <si>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</si>
  <si>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</si>
  <si>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</si>
  <si>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</si>
  <si>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</si>
  <si>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</si>
  <si>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</si>
  <si>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</si>
  <si>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</si>
  <si>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</si>
  <si>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</si>
  <si>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</si>
  <si>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</si>
  <si>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</si>
  <si>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</si>
  <si>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</si>
  <si>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</si>
  <si>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</si>
  <si>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</si>
  <si>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</si>
  <si>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</si>
  <si>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</si>
  <si>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</si>
  <si>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</si>
  <si>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</si>
  <si>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</si>
  <si>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</si>
  <si>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</si>
  <si>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</si>
  <si>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</si>
  <si>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</si>
  <si>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</si>
  <si>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</si>
  <si>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</si>
  <si>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</si>
  <si>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070620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</si>
</sst>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app.taxes.gov.il/srsimulatorNZ/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B4" sqref="B4:O4"/>
    </sheetView>
  </sheetViews>
  <sheetFormatPr defaultRowHeight="14.25" x14ac:dyDescent="0.2"/>
  <sheetData>
    <row r="1" spans="1:20" ht="15" thickBo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5.75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7" thickBot="1" x14ac:dyDescent="0.25">
      <c r="A4" s="152"/>
      <c r="B4" s="380" t="s">
        <v>93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  <c r="P4" s="152"/>
      <c r="Q4" s="152"/>
      <c r="R4" s="152"/>
      <c r="S4" s="152"/>
      <c r="T4" s="152"/>
    </row>
    <row r="5" spans="1:20" ht="19.5" customHeight="1" x14ac:dyDescent="0.2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75" x14ac:dyDescent="0.25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75" x14ac:dyDescent="0.25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75" x14ac:dyDescent="0.25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75" x14ac:dyDescent="0.25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algorithmName="SHA-512" hashValue="Dkr3MFD07j2PgTVtuyDhYtztT37h/sjmFH6NMhacMmMWOu3CQaIMU930mNmAkYLX6vJNytkZnxPV5J/c24UNqw==" saltValue="i9z/DzdXiAdITSe2ReE0AQ==" spinCount="100000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יול!C3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יול!C5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יול!C6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יול!C7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אוג!C3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אוג!C5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אוג!C6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אוג!C7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ספט!C3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ספט!C5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ספט!C6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ספט!C7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אוק!C3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אוק!C5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אוק!C6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אוק!C7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customWidth="1"/>
    <col min="22" max="22" width="15.375" style="1" customWidth="1"/>
    <col min="23" max="23" width="10.25" style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נוב!C3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נוב!C5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נוב!C6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נוב!C7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25" defaultRowHeight="14.25" x14ac:dyDescent="0.2"/>
  <cols>
    <col min="1" max="1" width="2.75" style="46" customWidth="1"/>
    <col min="2" max="2" width="31" style="46" bestFit="1" customWidth="1"/>
    <col min="3" max="14" width="8.375" style="201" bestFit="1" customWidth="1"/>
    <col min="15" max="15" width="13" style="46" customWidth="1"/>
    <col min="16" max="16" width="8.375" style="46" bestFit="1" customWidth="1"/>
    <col min="17" max="19" width="9.125" style="46"/>
    <col min="20" max="20" width="9.125" style="46" customWidth="1"/>
    <col min="21" max="29" width="9.125" style="46" hidden="1" customWidth="1"/>
    <col min="30" max="16384" width="9.125" style="46"/>
  </cols>
  <sheetData>
    <row r="1" spans="1:29" ht="15.75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5.75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ht="15" x14ac:dyDescent="0.25">
      <c r="A3" s="477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ht="15" x14ac:dyDescent="0.25">
      <c r="A4" s="478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ht="15" x14ac:dyDescent="0.25">
      <c r="A5" s="478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ht="15" x14ac:dyDescent="0.25">
      <c r="A6" s="478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ht="15" x14ac:dyDescent="0.25">
      <c r="A7" s="478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ht="15" x14ac:dyDescent="0.25">
      <c r="A8" s="478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ht="15" x14ac:dyDescent="0.25">
      <c r="A9" s="478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ht="15" x14ac:dyDescent="0.25">
      <c r="A10" s="478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5.75" thickBot="1" x14ac:dyDescent="0.3">
      <c r="A11" s="479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0" t="s">
        <v>136</v>
      </c>
      <c r="V11" s="480"/>
      <c r="W11" s="46">
        <f t="shared" si="0"/>
        <v>10</v>
      </c>
    </row>
    <row r="12" spans="1:29" ht="15.75" customHeight="1" thickTop="1" x14ac:dyDescent="0.2">
      <c r="A12" s="481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">
      <c r="A13" s="482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">
      <c r="A14" s="482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">
      <c r="A15" s="482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">
      <c r="A16" s="482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">
      <c r="A17" s="482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">
      <c r="A18" s="482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">
      <c r="A19" s="482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">
      <c r="A20" s="482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">
      <c r="A21" s="482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">
      <c r="A22" s="482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">
      <c r="A23" s="482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">
      <c r="A24" s="482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">
      <c r="A25" s="482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">
      <c r="A26" s="482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">
      <c r="A27" s="482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">
      <c r="A28" s="482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">
      <c r="A29" s="482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">
      <c r="A30" s="482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">
      <c r="A31" s="482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">
      <c r="A32" s="482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">
      <c r="A33" s="482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">
      <c r="A34" s="482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">
      <c r="A35" s="482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">
      <c r="A36" s="482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">
      <c r="A37" s="482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">
      <c r="A38" s="482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">
      <c r="A39" s="482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">
      <c r="A40" s="482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">
      <c r="A41" s="482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">
      <c r="A42" s="482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">
      <c r="A43" s="482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">
      <c r="A44" s="482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5" thickBot="1" x14ac:dyDescent="0.25">
      <c r="A45" s="483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">
      <c r="A48" s="218"/>
    </row>
    <row r="49" spans="1:1" x14ac:dyDescent="0.2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W27"/>
  <sheetViews>
    <sheetView rightToLeft="1" workbookViewId="0">
      <selection activeCell="D3" sqref="D3"/>
    </sheetView>
  </sheetViews>
  <sheetFormatPr defaultColWidth="9.125" defaultRowHeight="14.25" x14ac:dyDescent="0.2"/>
  <cols>
    <col min="1" max="1" width="9.125" style="46"/>
    <col min="2" max="2" width="11.875" style="46" customWidth="1"/>
    <col min="3" max="3" width="12.375" style="46" customWidth="1"/>
    <col min="4" max="4" width="12" style="46" customWidth="1"/>
    <col min="5" max="5" width="15.625" style="46" customWidth="1"/>
    <col min="6" max="25" width="9.125" style="46" customWidth="1"/>
    <col min="26" max="28" width="9.125" style="46" hidden="1" customWidth="1"/>
    <col min="29" max="30" width="9.875" style="46" hidden="1" customWidth="1"/>
    <col min="31" max="37" width="9.125" style="46" hidden="1" customWidth="1"/>
    <col min="38" max="38" width="1.5" style="46" hidden="1" customWidth="1"/>
    <col min="39" max="41" width="9.125" style="46" hidden="1" customWidth="1"/>
    <col min="42" max="42" width="8" style="46" hidden="1" customWidth="1"/>
    <col min="43" max="43" width="10" style="46" hidden="1" customWidth="1"/>
    <col min="44" max="49" width="9.125" style="46" hidden="1" customWidth="1"/>
    <col min="50" max="50" width="9.125" style="46" customWidth="1"/>
    <col min="51" max="16384" width="9.125" style="46"/>
  </cols>
  <sheetData>
    <row r="1" spans="2:49" ht="15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N1" s="151">
        <v>2013</v>
      </c>
      <c r="AO1" s="151">
        <v>2014</v>
      </c>
      <c r="AP1" s="356" t="s">
        <v>171</v>
      </c>
      <c r="AQ1" s="356" t="s">
        <v>172</v>
      </c>
      <c r="AR1" s="151">
        <v>2016</v>
      </c>
      <c r="AS1" s="151">
        <v>2017</v>
      </c>
      <c r="AT1" s="151">
        <v>2018</v>
      </c>
      <c r="AU1" s="151">
        <v>2019</v>
      </c>
      <c r="AV1" s="151">
        <v>2020</v>
      </c>
      <c r="AW1" s="151">
        <v>2021</v>
      </c>
    </row>
    <row r="2" spans="2:49" ht="15" thickBot="1" x14ac:dyDescent="0.25">
      <c r="B2" s="46" t="s">
        <v>31</v>
      </c>
      <c r="E2" s="143"/>
    </row>
    <row r="3" spans="2:49" ht="15.75" thickBot="1" x14ac:dyDescent="0.3">
      <c r="B3" s="46" t="s">
        <v>91</v>
      </c>
      <c r="D3" s="355">
        <v>2020</v>
      </c>
    </row>
    <row r="4" spans="2:49" ht="15.75" thickBot="1" x14ac:dyDescent="0.3">
      <c r="D4" s="144"/>
      <c r="E4" s="265"/>
    </row>
    <row r="5" spans="2:49" ht="15.75" thickBot="1" x14ac:dyDescent="0.3">
      <c r="B5" s="75" t="s">
        <v>87</v>
      </c>
      <c r="C5" s="76"/>
      <c r="D5" s="367">
        <f>HLOOKUP($D$3,$AN$1:$AW$27,5,FALSE)</f>
        <v>0.17</v>
      </c>
      <c r="E5" s="145"/>
      <c r="AM5" s="345" t="s">
        <v>167</v>
      </c>
      <c r="AN5" s="349">
        <v>0.18</v>
      </c>
      <c r="AO5" s="349">
        <v>0.18</v>
      </c>
      <c r="AP5" s="349">
        <v>0.18</v>
      </c>
      <c r="AQ5" s="357">
        <v>0.17</v>
      </c>
      <c r="AR5" s="349">
        <v>0.17</v>
      </c>
      <c r="AS5" s="357">
        <v>0.17</v>
      </c>
      <c r="AT5" s="357">
        <v>0.17</v>
      </c>
      <c r="AU5" s="357">
        <v>0.17</v>
      </c>
      <c r="AV5" s="357">
        <v>0.17</v>
      </c>
      <c r="AW5" s="364"/>
    </row>
    <row r="7" spans="2:49" ht="15.75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49" ht="15.75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49" ht="15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9"/>
      <c r="AM9" s="337" t="s">
        <v>21</v>
      </c>
      <c r="AN9" s="338"/>
      <c r="AO9" s="338"/>
      <c r="AP9" s="338"/>
      <c r="AQ9" s="338"/>
      <c r="AR9" s="338"/>
      <c r="AS9" s="338"/>
      <c r="AT9" s="338"/>
      <c r="AU9" s="338"/>
      <c r="AV9" s="338"/>
      <c r="AW9" s="339"/>
    </row>
    <row r="10" spans="2:49" ht="15" x14ac:dyDescent="0.25">
      <c r="B10" s="371">
        <f>HLOOKUP($D$3,$AA$1:$AK$27,10,FALSE)</f>
        <v>6330</v>
      </c>
      <c r="C10" s="369">
        <f t="shared" ref="C10:C15" si="0">B10-B9</f>
        <v>6330</v>
      </c>
      <c r="D10" s="372">
        <f>HLOOKUP($D$3,$AN$1:$AW$27,10,FALSE)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341"/>
      <c r="AM10" s="340"/>
      <c r="AN10" s="351">
        <v>0.1</v>
      </c>
      <c r="AO10" s="351">
        <v>0.1</v>
      </c>
      <c r="AP10" s="351">
        <v>0.1</v>
      </c>
      <c r="AQ10" s="351">
        <v>0.1</v>
      </c>
      <c r="AR10" s="58">
        <v>0.1</v>
      </c>
      <c r="AS10" s="58">
        <v>0.1</v>
      </c>
      <c r="AT10" s="58">
        <v>0.1</v>
      </c>
      <c r="AU10" s="58">
        <v>0.1</v>
      </c>
      <c r="AV10" s="58">
        <v>0.1</v>
      </c>
      <c r="AW10" s="362"/>
    </row>
    <row r="11" spans="2:49" ht="15" x14ac:dyDescent="0.25">
      <c r="B11" s="371">
        <f>HLOOKUP($D$3,$AA$1:$AK$27,11,FALSE)</f>
        <v>9080</v>
      </c>
      <c r="C11" s="369">
        <f t="shared" si="0"/>
        <v>2750</v>
      </c>
      <c r="D11" s="372">
        <f>HLOOKUP($D$3,$AN$1:$AW$27,11,FALSE)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341"/>
      <c r="AM11" s="340"/>
      <c r="AN11" s="351">
        <v>0.14000000000000001</v>
      </c>
      <c r="AO11" s="351">
        <v>0.14000000000000001</v>
      </c>
      <c r="AP11" s="351">
        <v>0.14000000000000001</v>
      </c>
      <c r="AQ11" s="351">
        <v>0.14000000000000001</v>
      </c>
      <c r="AR11" s="58">
        <v>0.14000000000000001</v>
      </c>
      <c r="AS11" s="58">
        <v>0.14000000000000001</v>
      </c>
      <c r="AT11" s="58">
        <v>0.14000000000000001</v>
      </c>
      <c r="AU11" s="58">
        <v>0.14000000000000001</v>
      </c>
      <c r="AV11" s="58">
        <v>0.14000000000000001</v>
      </c>
      <c r="AW11" s="362"/>
    </row>
    <row r="12" spans="2:49" ht="15" x14ac:dyDescent="0.25">
      <c r="B12" s="371">
        <f>HLOOKUP($D$3,$AA$1:$AK$27,12,FALSE)</f>
        <v>14580</v>
      </c>
      <c r="C12" s="369">
        <f t="shared" si="0"/>
        <v>5500</v>
      </c>
      <c r="D12" s="372">
        <f>HLOOKUP($D$3,$AN$1:$AW$27,12,FALSE)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341"/>
      <c r="AM12" s="340"/>
      <c r="AN12" s="351">
        <v>0.21</v>
      </c>
      <c r="AO12" s="351">
        <v>0.21</v>
      </c>
      <c r="AP12" s="351">
        <v>0.21</v>
      </c>
      <c r="AQ12" s="351">
        <v>0.21</v>
      </c>
      <c r="AR12" s="58">
        <v>0.21</v>
      </c>
      <c r="AS12" s="58">
        <v>0.2</v>
      </c>
      <c r="AT12" s="58">
        <v>0.2</v>
      </c>
      <c r="AU12" s="58">
        <v>0.2</v>
      </c>
      <c r="AV12" s="58">
        <v>0.2</v>
      </c>
      <c r="AW12" s="362"/>
    </row>
    <row r="13" spans="2:49" ht="15" x14ac:dyDescent="0.25">
      <c r="B13" s="371">
        <f>HLOOKUP($D$3,$AA$1:$AK$27,13,FALSE)</f>
        <v>20260</v>
      </c>
      <c r="C13" s="369">
        <f t="shared" si="0"/>
        <v>5680</v>
      </c>
      <c r="D13" s="372">
        <f>HLOOKUP($D$3,$AN$1:$AW$27,13,FALSE)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341"/>
      <c r="AM13" s="340"/>
      <c r="AN13" s="351">
        <v>0.31</v>
      </c>
      <c r="AO13" s="351">
        <v>0.31</v>
      </c>
      <c r="AP13" s="351">
        <v>0.31</v>
      </c>
      <c r="AQ13" s="351">
        <v>0.31</v>
      </c>
      <c r="AR13" s="58">
        <v>0.31</v>
      </c>
      <c r="AS13" s="58">
        <v>0.31</v>
      </c>
      <c r="AT13" s="58">
        <v>0.31</v>
      </c>
      <c r="AU13" s="58">
        <v>0.31</v>
      </c>
      <c r="AV13" s="58">
        <v>0.31</v>
      </c>
      <c r="AW13" s="362"/>
    </row>
    <row r="14" spans="2:49" ht="15" x14ac:dyDescent="0.25">
      <c r="B14" s="371">
        <f>HLOOKUP($D$3,$AA$1:$AK$27,14,FALSE)</f>
        <v>42160</v>
      </c>
      <c r="C14" s="369">
        <f t="shared" si="0"/>
        <v>21900</v>
      </c>
      <c r="D14" s="372">
        <f>HLOOKUP($D$3,$AN$1:$AW$27,14,FALSE)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341"/>
      <c r="AM14" s="340"/>
      <c r="AN14" s="351">
        <v>0.34</v>
      </c>
      <c r="AO14" s="351">
        <v>0.34</v>
      </c>
      <c r="AP14" s="351">
        <v>0.34</v>
      </c>
      <c r="AQ14" s="351">
        <v>0.34</v>
      </c>
      <c r="AR14" s="58">
        <v>0.34</v>
      </c>
      <c r="AS14" s="58">
        <v>0.35</v>
      </c>
      <c r="AT14" s="58">
        <v>0.35</v>
      </c>
      <c r="AU14" s="58">
        <v>0.35</v>
      </c>
      <c r="AV14" s="58">
        <v>0.35</v>
      </c>
      <c r="AW14" s="362"/>
    </row>
    <row r="15" spans="2:49" ht="15" x14ac:dyDescent="0.25">
      <c r="B15" s="371">
        <f>HLOOKUP($D$3,$AA$1:$AK$27,15,FALSE)</f>
        <v>54300</v>
      </c>
      <c r="C15" s="369">
        <f t="shared" si="0"/>
        <v>12140</v>
      </c>
      <c r="D15" s="372">
        <f>HLOOKUP($D$3,$AN$1:$AW$27,15,FALSE)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341"/>
      <c r="AM15" s="340"/>
      <c r="AN15" s="351">
        <v>0.48</v>
      </c>
      <c r="AO15" s="351">
        <v>0.48</v>
      </c>
      <c r="AP15" s="351">
        <v>0.48</v>
      </c>
      <c r="AQ15" s="351">
        <v>0.48</v>
      </c>
      <c r="AR15" s="58">
        <v>0.48</v>
      </c>
      <c r="AS15" s="58">
        <v>0.47</v>
      </c>
      <c r="AT15" s="58">
        <v>0.47</v>
      </c>
      <c r="AU15" s="58">
        <v>0.47</v>
      </c>
      <c r="AV15" s="58">
        <v>0.47</v>
      </c>
      <c r="AW15" s="362"/>
    </row>
    <row r="16" spans="2:49" ht="15.75" thickBot="1" x14ac:dyDescent="0.3">
      <c r="B16" s="373">
        <f>HLOOKUP($D$3,$AA$1:$AK$27,16,FALSE)</f>
        <v>54301</v>
      </c>
      <c r="C16" s="374"/>
      <c r="D16" s="375">
        <f>HLOOKUP($D$3,$AN$1:$AW$27,16,FALSE)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4"/>
      <c r="AM16" s="342"/>
      <c r="AN16" s="352">
        <v>0.5</v>
      </c>
      <c r="AO16" s="352">
        <v>0.5</v>
      </c>
      <c r="AP16" s="352">
        <v>0.5</v>
      </c>
      <c r="AQ16" s="352">
        <v>0.5</v>
      </c>
      <c r="AR16" s="358">
        <v>0.5</v>
      </c>
      <c r="AS16" s="358">
        <v>0.5</v>
      </c>
      <c r="AT16" s="358">
        <v>0.5</v>
      </c>
      <c r="AU16" s="358">
        <v>0.5</v>
      </c>
      <c r="AV16" s="358">
        <v>0.5</v>
      </c>
      <c r="AW16" s="363"/>
    </row>
    <row r="17" spans="2:49" ht="15" thickBot="1" x14ac:dyDescent="0.25">
      <c r="B17" s="149"/>
      <c r="C17" s="149"/>
      <c r="D17" s="150"/>
      <c r="E17" s="149"/>
      <c r="F17" s="149"/>
      <c r="G17" s="149"/>
      <c r="H17" s="56"/>
      <c r="I17" s="56"/>
      <c r="J17" s="56"/>
      <c r="AN17" s="350"/>
      <c r="AO17" s="350"/>
      <c r="AP17" s="350"/>
    </row>
    <row r="18" spans="2:49" ht="15.75" thickBot="1" x14ac:dyDescent="0.3">
      <c r="B18" s="75" t="s">
        <v>89</v>
      </c>
      <c r="C18" s="76"/>
      <c r="D18" s="376">
        <f>HLOOKUP($D$3,$AN$1:$AW$27,18,FALSE)</f>
        <v>219</v>
      </c>
      <c r="AM18" s="345" t="s">
        <v>166</v>
      </c>
      <c r="AN18" s="346">
        <v>218</v>
      </c>
      <c r="AO18" s="346">
        <v>218</v>
      </c>
      <c r="AP18" s="346">
        <v>218</v>
      </c>
      <c r="AQ18" s="346">
        <v>218</v>
      </c>
      <c r="AR18" s="346">
        <v>216</v>
      </c>
      <c r="AS18" s="346">
        <v>215</v>
      </c>
      <c r="AT18" s="346">
        <v>216</v>
      </c>
      <c r="AU18" s="346">
        <v>218</v>
      </c>
      <c r="AV18" s="346">
        <v>219</v>
      </c>
      <c r="AW18" s="347"/>
    </row>
    <row r="19" spans="2:49" x14ac:dyDescent="0.2">
      <c r="B19" s="56"/>
      <c r="C19" s="56"/>
      <c r="AN19" s="350"/>
      <c r="AO19" s="350"/>
      <c r="AP19" s="350"/>
    </row>
    <row r="20" spans="2:49" ht="15.75" thickBot="1" x14ac:dyDescent="0.3">
      <c r="B20" s="151" t="s">
        <v>90</v>
      </c>
      <c r="AN20" s="350"/>
      <c r="AO20" s="350"/>
      <c r="AP20" s="350"/>
    </row>
    <row r="21" spans="2:49" ht="15.75" thickBot="1" x14ac:dyDescent="0.3">
      <c r="B21" s="75" t="s">
        <v>19</v>
      </c>
      <c r="C21" s="76" t="s">
        <v>20</v>
      </c>
      <c r="D21" s="146" t="s">
        <v>29</v>
      </c>
      <c r="E21" s="147"/>
      <c r="AN21" s="350"/>
      <c r="AO21" s="350"/>
      <c r="AP21" s="350"/>
    </row>
    <row r="22" spans="2:49" ht="15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9"/>
      <c r="AM22" s="337" t="s">
        <v>170</v>
      </c>
      <c r="AN22" s="338"/>
      <c r="AO22" s="338"/>
      <c r="AP22" s="338"/>
      <c r="AQ22" s="338"/>
      <c r="AR22" s="338"/>
      <c r="AS22" s="338"/>
      <c r="AT22" s="338"/>
      <c r="AU22" s="338"/>
      <c r="AV22" s="338"/>
      <c r="AW22" s="339"/>
    </row>
    <row r="23" spans="2:49" ht="15" x14ac:dyDescent="0.25">
      <c r="B23" s="371">
        <f>HLOOKUP($D$3,$AA$1:$AK$27,23,FALSE)</f>
        <v>6331</v>
      </c>
      <c r="C23" s="369">
        <f>B23-B22</f>
        <v>6331</v>
      </c>
      <c r="D23" s="378">
        <f>HLOOKUP($D$3,$AN$1:$AW$27,23,FALSE)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341"/>
      <c r="AM23" s="340"/>
      <c r="AN23" s="353">
        <v>9.8199999999999996E-2</v>
      </c>
      <c r="AO23" s="353">
        <v>9.8199999999999996E-2</v>
      </c>
      <c r="AP23" s="353">
        <v>9.8199999999999996E-2</v>
      </c>
      <c r="AQ23" s="353">
        <v>9.8199999999999996E-2</v>
      </c>
      <c r="AR23" s="359">
        <v>9.8199999999999996E-2</v>
      </c>
      <c r="AS23" s="359">
        <v>5.9700000000000003E-2</v>
      </c>
      <c r="AT23" s="359">
        <v>5.9700000000000003E-2</v>
      </c>
      <c r="AU23" s="359">
        <v>5.9700000000000003E-2</v>
      </c>
      <c r="AV23" s="359">
        <v>5.9700000000000003E-2</v>
      </c>
      <c r="AW23" s="365"/>
    </row>
    <row r="24" spans="2:49" ht="15.75" thickBot="1" x14ac:dyDescent="0.3">
      <c r="B24" s="373">
        <f>HLOOKUP($D$3,$AA$1:$AK$27,24,FALSE)</f>
        <v>44020</v>
      </c>
      <c r="C24" s="374">
        <f>B24-B23</f>
        <v>37689</v>
      </c>
      <c r="D24" s="379">
        <f>HLOOKUP($D$3,$AN$1:$AW$27,24,FALSE)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4"/>
      <c r="AM24" s="342"/>
      <c r="AN24" s="354">
        <v>0.1623</v>
      </c>
      <c r="AO24" s="354">
        <v>0.1623</v>
      </c>
      <c r="AP24" s="354">
        <v>0.1623</v>
      </c>
      <c r="AQ24" s="354">
        <v>0.1623</v>
      </c>
      <c r="AR24" s="360">
        <v>0.1623</v>
      </c>
      <c r="AS24" s="360">
        <v>0.17829999999999999</v>
      </c>
      <c r="AT24" s="360">
        <v>0.17829999999999999</v>
      </c>
      <c r="AU24" s="360">
        <v>0.17829999999999999</v>
      </c>
      <c r="AV24" s="360">
        <v>0.17829999999999999</v>
      </c>
      <c r="AW24" s="366"/>
    </row>
    <row r="25" spans="2:49" ht="15" thickBot="1" x14ac:dyDescent="0.25"/>
    <row r="26" spans="2:49" ht="15.75" thickBot="1" x14ac:dyDescent="0.3">
      <c r="B26" s="75" t="s">
        <v>122</v>
      </c>
      <c r="C26" s="204"/>
      <c r="D26" s="141"/>
      <c r="AM26" s="337" t="s">
        <v>168</v>
      </c>
      <c r="AN26" s="338"/>
      <c r="AO26" s="338"/>
      <c r="AP26" s="338"/>
      <c r="AQ26" s="338"/>
      <c r="AR26" s="338"/>
      <c r="AS26" s="338"/>
      <c r="AT26" s="338"/>
      <c r="AU26" s="338"/>
      <c r="AV26" s="338"/>
      <c r="AW26" s="339"/>
    </row>
    <row r="27" spans="2:49" ht="15.75" thickBot="1" x14ac:dyDescent="0.3">
      <c r="B27" s="202"/>
      <c r="C27" s="203"/>
      <c r="D27" s="361">
        <f>HLOOKUP($D$3,$AN$1:$AW$27,27,FALSE)</f>
        <v>100491</v>
      </c>
      <c r="AM27" s="342"/>
      <c r="AN27" s="343">
        <v>77993</v>
      </c>
      <c r="AO27" s="343">
        <v>79482</v>
      </c>
      <c r="AP27" s="343">
        <v>100000</v>
      </c>
      <c r="AQ27" s="343">
        <v>100000</v>
      </c>
      <c r="AR27" s="343">
        <v>99006</v>
      </c>
      <c r="AS27" s="343">
        <v>98707</v>
      </c>
      <c r="AT27" s="343">
        <v>99003</v>
      </c>
      <c r="AU27" s="343">
        <v>100187</v>
      </c>
      <c r="AV27" s="343">
        <v>100491</v>
      </c>
      <c r="AW27" s="344"/>
    </row>
  </sheetData>
  <sheetProtection algorithmName="SHA-512" hashValue="B6gDOk+KI1GkGjapKs8scKfueFl4apHdws6pJXmc7y/JVac87tXNoTm5Ziys1h/ouM2w1EupKUZxKUL5OFBs7A==" saltValue="vLPiu5Jv+M/y5KEjSw+8WA==" spinCount="100000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$AA$1:$AI$1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2" sqref="C2"/>
    </sheetView>
  </sheetViews>
  <sheetFormatPr defaultColWidth="9.125" defaultRowHeight="14.25" x14ac:dyDescent="0.2"/>
  <cols>
    <col min="1" max="1" width="0.875" style="1" customWidth="1"/>
    <col min="2" max="2" width="34" style="1" bestFit="1" customWidth="1"/>
    <col min="3" max="3" width="11.625" style="1" customWidth="1"/>
    <col min="4" max="4" width="7.625" style="1" customWidth="1"/>
    <col min="5" max="5" width="8.125" style="1" customWidth="1"/>
    <col min="6" max="6" width="11.625" style="1" hidden="1" customWidth="1"/>
    <col min="7" max="7" width="7.625" style="1" customWidth="1"/>
    <col min="8" max="8" width="10.125" style="1" customWidth="1"/>
    <col min="9" max="9" width="8.75" style="1" customWidth="1"/>
    <col min="10" max="10" width="9.875" style="1" customWidth="1"/>
    <col min="11" max="11" width="3.75" style="1" customWidth="1"/>
    <col min="12" max="12" width="13.75" style="1" customWidth="1"/>
    <col min="13" max="13" width="3.875" style="1" customWidth="1"/>
    <col min="14" max="14" width="23.125" style="1" customWidth="1"/>
    <col min="15" max="15" width="11.625" style="1" customWidth="1"/>
    <col min="16" max="16" width="10" style="1" hidden="1" customWidth="1"/>
    <col min="17" max="17" width="11.625" style="2" bestFit="1" customWidth="1"/>
    <col min="18" max="18" width="11.625" style="2" hidden="1" customWidth="1"/>
    <col min="19" max="19" width="11.625" style="2" bestFit="1" customWidth="1"/>
    <col min="20" max="20" width="5.875" style="1" customWidth="1"/>
    <col min="21" max="21" width="9.875" style="1" customWidth="1"/>
    <col min="22" max="22" width="9.125" style="1"/>
    <col min="23" max="23" width="9.125" style="1" customWidth="1"/>
    <col min="24" max="24" width="15.375" style="1" hidden="1" customWidth="1"/>
    <col min="25" max="25" width="10.25" style="1" hidden="1" customWidth="1"/>
    <col min="26" max="26" width="13.125" style="1" hidden="1" customWidth="1"/>
    <col min="27" max="27" width="11.125" style="1" hidden="1" customWidth="1"/>
    <col min="28" max="28" width="10" style="1" hidden="1" customWidth="1"/>
    <col min="29" max="29" width="8.25" style="1" hidden="1" customWidth="1"/>
    <col min="30" max="31" width="9.125" style="1" hidden="1" customWidth="1"/>
    <col min="32" max="32" width="10" style="1" hidden="1" customWidth="1"/>
    <col min="33" max="33" width="9.125" style="1" hidden="1" customWidth="1"/>
    <col min="34" max="34" width="9.125" style="56" hidden="1" customWidth="1"/>
    <col min="35" max="35" width="3.375" style="56" hidden="1" customWidth="1"/>
    <col min="36" max="44" width="9.125" style="56" hidden="1" customWidth="1"/>
    <col min="45" max="55" width="9.125" style="1" hidden="1" customWidth="1"/>
    <col min="56" max="56" width="9.125" style="1" customWidth="1"/>
    <col min="57" max="16384" width="9.125" style="1"/>
  </cols>
  <sheetData>
    <row r="1" spans="1:55" ht="13.5" customHeight="1" thickBot="1" x14ac:dyDescent="0.25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">
      <c r="A2" s="10"/>
      <c r="B2" s="93" t="s">
        <v>27</v>
      </c>
      <c r="C2" s="251"/>
      <c r="D2" s="290"/>
      <c r="E2" s="192"/>
      <c r="F2" s="17"/>
      <c r="G2" s="438" t="s">
        <v>15</v>
      </c>
      <c r="H2" s="439"/>
      <c r="I2" s="440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35">
      <c r="A3" s="10"/>
      <c r="B3" s="94" t="s">
        <v>25</v>
      </c>
      <c r="C3" s="252"/>
      <c r="D3" s="290"/>
      <c r="E3" s="192"/>
      <c r="F3" s="17"/>
      <c r="G3" s="441" t="s">
        <v>61</v>
      </c>
      <c r="H3" s="442"/>
      <c r="I3" s="443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100491</v>
      </c>
    </row>
    <row r="4" spans="1:55" ht="15.75" customHeight="1" thickBot="1" x14ac:dyDescent="0.3">
      <c r="A4" s="10"/>
      <c r="B4" s="94" t="s">
        <v>39</v>
      </c>
      <c r="C4" s="253"/>
      <c r="D4" s="291"/>
      <c r="E4" s="192"/>
      <c r="F4" s="10"/>
      <c r="G4" s="444" t="s">
        <v>16</v>
      </c>
      <c r="H4" s="445"/>
      <c r="I4" s="446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396" t="s">
        <v>116</v>
      </c>
      <c r="T4" s="397"/>
      <c r="U4" s="398"/>
      <c r="V4" s="10"/>
      <c r="AN4" s="56" t="s">
        <v>121</v>
      </c>
    </row>
    <row r="5" spans="1:55" ht="15.75" customHeight="1" thickBot="1" x14ac:dyDescent="0.3">
      <c r="A5" s="10"/>
      <c r="B5" s="95" t="s">
        <v>26</v>
      </c>
      <c r="C5" s="164">
        <v>2.25</v>
      </c>
      <c r="D5" s="285" t="s">
        <v>148</v>
      </c>
      <c r="F5" s="10"/>
      <c r="G5" s="447" t="s">
        <v>33</v>
      </c>
      <c r="H5" s="448"/>
      <c r="I5" s="449"/>
      <c r="J5" s="303">
        <f>AR30</f>
        <v>0</v>
      </c>
      <c r="K5" s="39"/>
      <c r="L5" s="402" t="s">
        <v>158</v>
      </c>
      <c r="M5" s="22"/>
      <c r="N5" s="49" t="s">
        <v>50</v>
      </c>
      <c r="O5" s="48">
        <f>Q45</f>
        <v>0</v>
      </c>
      <c r="Q5" s="54"/>
      <c r="R5" s="34"/>
      <c r="S5" s="408" t="s">
        <v>117</v>
      </c>
      <c r="T5" s="409"/>
      <c r="U5" s="410"/>
      <c r="V5" s="10"/>
    </row>
    <row r="6" spans="1:55" ht="15.75" customHeight="1" thickBot="1" x14ac:dyDescent="0.3">
      <c r="A6" s="10"/>
      <c r="B6" s="95" t="s">
        <v>38</v>
      </c>
      <c r="C6" s="164" t="s">
        <v>37</v>
      </c>
      <c r="D6" s="198"/>
      <c r="E6" s="198"/>
      <c r="F6" s="10"/>
      <c r="G6" s="450" t="s">
        <v>17</v>
      </c>
      <c r="H6" s="451"/>
      <c r="I6" s="452"/>
      <c r="J6" s="316">
        <f>J2-J4-J5</f>
        <v>0</v>
      </c>
      <c r="K6" s="41"/>
      <c r="L6" s="403"/>
      <c r="M6" s="22"/>
      <c r="N6" s="50" t="s">
        <v>150</v>
      </c>
      <c r="O6" s="48">
        <f>J45</f>
        <v>0</v>
      </c>
      <c r="Q6" s="54"/>
      <c r="R6" s="34"/>
      <c r="S6" s="408" t="s">
        <v>118</v>
      </c>
      <c r="T6" s="409"/>
      <c r="U6" s="410"/>
      <c r="V6" s="10"/>
    </row>
    <row r="7" spans="1:55" ht="15.75" customHeight="1" thickBot="1" x14ac:dyDescent="0.3">
      <c r="A7" s="10"/>
      <c r="B7" s="96" t="s">
        <v>65</v>
      </c>
      <c r="C7" s="165" t="s">
        <v>64</v>
      </c>
      <c r="D7" s="198"/>
      <c r="E7" s="198"/>
      <c r="F7" s="10"/>
      <c r="G7" s="435" t="s">
        <v>47</v>
      </c>
      <c r="H7" s="436"/>
      <c r="I7" s="437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399" t="s">
        <v>119</v>
      </c>
      <c r="T7" s="400"/>
      <c r="U7" s="401"/>
      <c r="V7" s="10"/>
      <c r="AB7" s="384" t="s">
        <v>146</v>
      </c>
      <c r="AC7" s="384"/>
      <c r="AD7" s="384"/>
      <c r="AE7" s="384"/>
      <c r="AF7" s="384"/>
      <c r="AG7" s="384"/>
      <c r="AH7" s="384"/>
      <c r="AI7" s="294"/>
      <c r="AJ7" s="383" t="s">
        <v>159</v>
      </c>
      <c r="AK7" s="383"/>
      <c r="AL7" s="383"/>
    </row>
    <row r="8" spans="1:55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386"/>
      <c r="AC8" s="386"/>
      <c r="AD8" s="386"/>
      <c r="AE8" s="386"/>
      <c r="AF8" s="386"/>
      <c r="AG8" s="386"/>
      <c r="AH8" s="386"/>
      <c r="AI8" s="326"/>
      <c r="AJ8" s="295"/>
      <c r="AK8" s="295"/>
      <c r="AL8" s="295"/>
    </row>
    <row r="9" spans="1:55" ht="35.2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04" t="str">
        <f>IF(C6=AN1,IF(O4*12&gt;AN3,AN4,""),"")</f>
        <v/>
      </c>
      <c r="M9" s="404"/>
      <c r="N9" s="404"/>
      <c r="P9" s="336"/>
      <c r="Q9" s="12"/>
      <c r="R9" s="12"/>
      <c r="S9" s="12"/>
      <c r="T9" s="10"/>
      <c r="U9" s="10"/>
      <c r="V9" s="10"/>
      <c r="AB9" s="384" t="s">
        <v>144</v>
      </c>
      <c r="AC9" s="384"/>
      <c r="AD9" s="384"/>
      <c r="AE9" s="288"/>
      <c r="AF9" s="385" t="s">
        <v>145</v>
      </c>
      <c r="AG9" s="385"/>
      <c r="AH9" s="385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05" t="s">
        <v>14</v>
      </c>
      <c r="M10" s="406"/>
      <c r="N10" s="407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387" t="s">
        <v>136</v>
      </c>
      <c r="Y10" s="387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25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20"/>
      <c r="M11" s="421"/>
      <c r="N11" s="422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389"/>
      <c r="M12" s="390"/>
      <c r="N12" s="391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389"/>
      <c r="M13" s="390"/>
      <c r="N13" s="391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389"/>
      <c r="M14" s="390"/>
      <c r="N14" s="391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389"/>
      <c r="M15" s="390"/>
      <c r="N15" s="391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389"/>
      <c r="M16" s="390"/>
      <c r="N16" s="391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389"/>
      <c r="M17" s="390"/>
      <c r="N17" s="391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389"/>
      <c r="M18" s="390"/>
      <c r="N18" s="391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389"/>
      <c r="M19" s="390"/>
      <c r="N19" s="391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389"/>
      <c r="M20" s="390"/>
      <c r="N20" s="391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389"/>
      <c r="M21" s="390"/>
      <c r="N21" s="391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389"/>
      <c r="M22" s="390"/>
      <c r="N22" s="391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492.75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389"/>
      <c r="M23" s="390"/>
      <c r="N23" s="391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389"/>
      <c r="M24" s="390"/>
      <c r="N24" s="391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25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389"/>
      <c r="M25" s="390"/>
      <c r="N25" s="391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389"/>
      <c r="M26" s="390"/>
      <c r="N26" s="391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389"/>
      <c r="M27" s="390"/>
      <c r="N27" s="391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389"/>
      <c r="M28" s="390"/>
      <c r="N28" s="391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389"/>
      <c r="M29" s="390"/>
      <c r="N29" s="391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389"/>
      <c r="M30" s="390"/>
      <c r="N30" s="391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389"/>
      <c r="M31" s="390"/>
      <c r="N31" s="391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389"/>
      <c r="M32" s="390"/>
      <c r="N32" s="391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389"/>
      <c r="M33" s="390"/>
      <c r="N33" s="391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389"/>
      <c r="M34" s="390"/>
      <c r="N34" s="391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389"/>
      <c r="M35" s="390"/>
      <c r="N35" s="391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389"/>
      <c r="M36" s="390"/>
      <c r="N36" s="391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389"/>
      <c r="M37" s="390"/>
      <c r="N37" s="391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389"/>
      <c r="M38" s="390"/>
      <c r="N38" s="391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389"/>
      <c r="M39" s="390"/>
      <c r="N39" s="391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389"/>
      <c r="M40" s="390"/>
      <c r="N40" s="391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389"/>
      <c r="M41" s="390"/>
      <c r="N41" s="391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389"/>
      <c r="M42" s="390"/>
      <c r="N42" s="391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389"/>
      <c r="M43" s="390"/>
      <c r="N43" s="391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25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393"/>
      <c r="M44" s="394"/>
      <c r="N44" s="395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25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3" t="s">
        <v>0</v>
      </c>
      <c r="M45" s="424"/>
      <c r="N45" s="425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5" thickBot="1" x14ac:dyDescent="0.25">
      <c r="A48" s="10"/>
      <c r="B48" s="388" t="s">
        <v>59</v>
      </c>
      <c r="C48" s="388"/>
      <c r="D48" s="289"/>
      <c r="E48" s="191"/>
      <c r="F48" s="16"/>
      <c r="G48" s="10"/>
      <c r="H48" s="10"/>
      <c r="I48" s="10"/>
      <c r="J48" s="10"/>
      <c r="K48" s="10"/>
      <c r="L48" s="392" t="s">
        <v>58</v>
      </c>
      <c r="M48" s="392"/>
      <c r="N48" s="392"/>
      <c r="O48" s="392"/>
      <c r="P48" s="33"/>
      <c r="Q48" s="12"/>
      <c r="R48" s="10"/>
      <c r="S48" s="10"/>
      <c r="T48" s="10"/>
      <c r="U48" s="10"/>
      <c r="V48" s="10"/>
    </row>
    <row r="49" spans="1:32" ht="16.5" thickBot="1" x14ac:dyDescent="0.25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1" t="s">
        <v>18</v>
      </c>
      <c r="M49" s="412"/>
      <c r="N49" s="413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4"/>
      <c r="M50" s="415"/>
      <c r="N50" s="416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75" x14ac:dyDescent="0.2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7"/>
      <c r="M51" s="418"/>
      <c r="N51" s="419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75" x14ac:dyDescent="0.2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7"/>
      <c r="M52" s="418"/>
      <c r="N52" s="419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75" x14ac:dyDescent="0.2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7"/>
      <c r="M53" s="418"/>
      <c r="N53" s="419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26"/>
      <c r="M54" s="427"/>
      <c r="N54" s="428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26"/>
      <c r="M55" s="427"/>
      <c r="N55" s="428"/>
      <c r="O55" s="178"/>
      <c r="P55" s="19"/>
      <c r="Q55" s="12"/>
      <c r="R55" s="10"/>
      <c r="S55" s="10"/>
      <c r="T55" s="10"/>
      <c r="U55" s="10"/>
      <c r="V55" s="10"/>
    </row>
    <row r="56" spans="1:32" x14ac:dyDescent="0.2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26"/>
      <c r="M56" s="427"/>
      <c r="N56" s="428"/>
      <c r="O56" s="178"/>
      <c r="P56" s="19"/>
      <c r="Q56" s="12"/>
      <c r="R56" s="10"/>
      <c r="S56" s="10"/>
      <c r="T56" s="10"/>
      <c r="U56" s="10"/>
      <c r="V56" s="10"/>
    </row>
    <row r="57" spans="1:32" x14ac:dyDescent="0.2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26"/>
      <c r="M57" s="427"/>
      <c r="N57" s="428"/>
      <c r="O57" s="178"/>
      <c r="P57" s="19"/>
      <c r="Q57" s="12"/>
      <c r="R57" s="10"/>
      <c r="S57" s="10"/>
      <c r="T57" s="10"/>
      <c r="U57" s="10"/>
      <c r="V57" s="10"/>
    </row>
    <row r="58" spans="1:32" ht="15" thickBot="1" x14ac:dyDescent="0.25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29"/>
      <c r="M58" s="430"/>
      <c r="N58" s="431"/>
      <c r="O58" s="181"/>
      <c r="P58" s="19"/>
      <c r="Q58" s="12"/>
      <c r="R58" s="10"/>
      <c r="S58" s="10"/>
      <c r="T58" s="10"/>
      <c r="U58" s="10"/>
      <c r="V58" s="10"/>
    </row>
    <row r="59" spans="1:32" ht="15.75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32" t="s">
        <v>60</v>
      </c>
      <c r="M59" s="433"/>
      <c r="N59" s="434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">
      <c r="A61" s="10"/>
      <c r="T61" s="10"/>
      <c r="U61" s="10"/>
      <c r="V61" s="10"/>
    </row>
    <row r="62" spans="1:32" x14ac:dyDescent="0.2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G7:I7"/>
    <mergeCell ref="G2:I2"/>
    <mergeCell ref="G3:I3"/>
    <mergeCell ref="G4:I4"/>
    <mergeCell ref="G5:I5"/>
    <mergeCell ref="G6:I6"/>
    <mergeCell ref="L57:N57"/>
    <mergeCell ref="L58:N58"/>
    <mergeCell ref="L59:N59"/>
    <mergeCell ref="L52:N52"/>
    <mergeCell ref="L53:N53"/>
    <mergeCell ref="L54:N54"/>
    <mergeCell ref="L55:N55"/>
    <mergeCell ref="L56:N56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33:N33"/>
    <mergeCell ref="L28:N28"/>
    <mergeCell ref="L29:N29"/>
    <mergeCell ref="L21:N21"/>
    <mergeCell ref="L22:N22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AJ7:AL7"/>
    <mergeCell ref="AB9:AD9"/>
    <mergeCell ref="AF9:AH9"/>
    <mergeCell ref="AB8:AH8"/>
    <mergeCell ref="AB7:AH7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 location="/simulator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">
      <c r="A2" s="10"/>
      <c r="B2" s="210" t="s">
        <v>27</v>
      </c>
      <c r="C2" s="254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35">
      <c r="A3" s="10"/>
      <c r="B3" s="99" t="s">
        <v>25</v>
      </c>
      <c r="C3" s="270">
        <f>'שיקוף לעסק'!C3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">
      <c r="A4" s="10"/>
      <c r="B4" s="99" t="s">
        <v>39</v>
      </c>
      <c r="C4" s="324" t="s">
        <v>124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271">
        <f>'שיקוף לעסק'!C5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'שיקוף לעסק'!C6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'שיקוף לעסק'!C7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387" t="s">
        <v>136</v>
      </c>
      <c r="W10" s="387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25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25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ינו!C3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ינו!C5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ינו!C6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ינו!C7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פבר!C3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פבר!C5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פבר!C6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פבר!C7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מרץ!C3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מרץ!C5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מרץ!C6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מרץ!C7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אפר!C3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אפר!C5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אפר!C6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אפר!C7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מאי!C3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מאי!C5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מאי!C6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מאי!C7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יונ!C3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יונ!C5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יונ!C6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יונ!C7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492.75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2013-02-10T16:58:02Z</cp:lastPrinted>
  <dcterms:created xsi:type="dcterms:W3CDTF">2013-01-27T11:06:34Z</dcterms:created>
  <dcterms:modified xsi:type="dcterms:W3CDTF">2020-06-07T11:03:47Z</dcterms:modified>
</cp:coreProperties>
</file>